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rrloffice-my.sharepoint.com/personal/msmith_arrl_org/Documents/Documents/QEX/QEX SeptemberOctober 26/Victor/"/>
    </mc:Choice>
  </mc:AlternateContent>
  <xr:revisionPtr revIDLastSave="18" documentId="11_8BA72F1A56F1ED4A3933259751139D68D631F4D3" xr6:coauthVersionLast="47" xr6:coauthVersionMax="47" xr10:uidLastSave="{347F7F5F-EFDC-4F7D-AB09-9ED6A6A77FEA}"/>
  <bookViews>
    <workbookView xWindow="-120" yWindow="-120" windowWidth="29040" windowHeight="15720" activeTab="4" xr2:uid="{00000000-000D-0000-FFFF-FFFF00000000}"/>
  </bookViews>
  <sheets>
    <sheet name="Overview" sheetId="5" r:id="rId1"/>
    <sheet name="Complex_v0" sheetId="1" r:id="rId2"/>
    <sheet name="Series Z to Test Set Values " sheetId="2" r:id="rId3"/>
    <sheet name="Test Set Values to Series Z" sheetId="3" r:id="rId4"/>
    <sheet name="Test Set Values to S21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B25" i="4"/>
  <c r="H25" i="4" s="1"/>
  <c r="B28" i="4" l="1"/>
  <c r="B31" i="4" s="1"/>
  <c r="B30" i="4" l="1"/>
  <c r="B27" i="3"/>
  <c r="B25" i="3"/>
  <c r="B11" i="2"/>
  <c r="F10" i="2" s="1"/>
  <c r="B28" i="3" l="1"/>
  <c r="B31" i="3" s="1"/>
  <c r="B33" i="4"/>
  <c r="B35" i="4"/>
  <c r="B34" i="4"/>
  <c r="B37" i="4" s="1"/>
  <c r="H25" i="3"/>
  <c r="B30" i="3"/>
  <c r="G10" i="2"/>
  <c r="A15" i="2" s="1"/>
  <c r="B33" i="3" l="1"/>
  <c r="B35" i="3"/>
  <c r="B34" i="3"/>
  <c r="B36" i="3" s="1"/>
  <c r="B18" i="2"/>
  <c r="B22" i="2"/>
  <c r="B17" i="2"/>
  <c r="B20" i="2"/>
  <c r="B21" i="2" s="1"/>
  <c r="H10" i="2"/>
  <c r="A17" i="1"/>
  <c r="A16" i="1"/>
  <c r="A14" i="1"/>
  <c r="A13" i="1"/>
  <c r="A4" i="1"/>
  <c r="A1" i="1"/>
  <c r="A6" i="1" s="1"/>
  <c r="A11" i="1" l="1"/>
  <c r="A2" i="1"/>
  <c r="A8" i="1"/>
  <c r="B23" i="2"/>
  <c r="B25" i="2" s="1"/>
  <c r="B26" i="2" s="1"/>
  <c r="B38" i="3"/>
  <c r="B37" i="3"/>
  <c r="B24" i="2" l="1"/>
  <c r="A41" i="3"/>
  <c r="A43" i="3"/>
  <c r="A42" i="3"/>
  <c r="A45" i="3" l="1"/>
  <c r="A44" i="3"/>
  <c r="A46" i="3" l="1"/>
  <c r="B47" i="3" s="1"/>
  <c r="A47" i="3" l="1"/>
</calcChain>
</file>

<file path=xl/sharedStrings.xml><?xml version="1.0" encoding="utf-8"?>
<sst xmlns="http://schemas.openxmlformats.org/spreadsheetml/2006/main" count="166" uniqueCount="137">
  <si>
    <t>complex (2,3) provides a complex number entry</t>
  </si>
  <si>
    <t>IMDIV(a1,4) divides a complex number by a real number</t>
  </si>
  <si>
    <t>IMREAL(a1) returns the real value of a complex number</t>
  </si>
  <si>
    <t>IMAGINARY(a1) returns the imaginary value of a complex number</t>
  </si>
  <si>
    <t>SQRT(real^2+imag^2) returns the magnitude of the complex number</t>
  </si>
  <si>
    <t>degrees(atan2(real,imag)) returns the correct angle for complex number</t>
  </si>
  <si>
    <t>REAL</t>
  </si>
  <si>
    <t>IMAG</t>
  </si>
  <si>
    <t>MAG</t>
  </si>
  <si>
    <t>ANGLE</t>
  </si>
  <si>
    <t>mag</t>
  </si>
  <si>
    <t>angle</t>
  </si>
  <si>
    <t>entries are from approx from a8,a11</t>
  </si>
  <si>
    <t>real = a13*cos(radians(a14))</t>
  </si>
  <si>
    <t>converting polar to rectangular…use entries at a13,a14</t>
  </si>
  <si>
    <t>imag=a13*sin(radians(a14))</t>
  </si>
  <si>
    <t>Starting the sheet for the paper using the Resistive Power Divider_Pad Test Set…Finding S11</t>
  </si>
  <si>
    <t>v1</t>
  </si>
  <si>
    <t>vref</t>
  </si>
  <si>
    <t>delay</t>
  </si>
  <si>
    <t>Freq</t>
  </si>
  <si>
    <t>degrees</t>
  </si>
  <si>
    <t>Angle is positive if v1 is leading vref</t>
  </si>
  <si>
    <t>radians</t>
  </si>
  <si>
    <t>v1/vref</t>
  </si>
  <si>
    <t>real</t>
  </si>
  <si>
    <t>imag</t>
  </si>
  <si>
    <t>cmpx</t>
  </si>
  <si>
    <t>subt 1</t>
  </si>
  <si>
    <t>to polar</t>
  </si>
  <si>
    <t>This is S11 MAG</t>
  </si>
  <si>
    <t>This is S11 ANGLE</t>
  </si>
  <si>
    <t>Hz</t>
  </si>
  <si>
    <t>secs</t>
  </si>
  <si>
    <t>volts</t>
  </si>
  <si>
    <t xml:space="preserve">Convert a Z to Gamma </t>
  </si>
  <si>
    <t>MAG S11</t>
  </si>
  <si>
    <t>ANG S11</t>
  </si>
  <si>
    <t>Zo</t>
  </si>
  <si>
    <t>Real Gam</t>
  </si>
  <si>
    <t>add unity</t>
  </si>
  <si>
    <t>continue</t>
  </si>
  <si>
    <t>angle to get delay</t>
  </si>
  <si>
    <t xml:space="preserve">Convert the S11 MAG and ANGLE to the series Z value… </t>
  </si>
  <si>
    <t>numerator</t>
  </si>
  <si>
    <t>denominator</t>
  </si>
  <si>
    <t>quotient</t>
  </si>
  <si>
    <t>Series Impedance Result</t>
  </si>
  <si>
    <t>Imag</t>
  </si>
  <si>
    <t>Real</t>
  </si>
  <si>
    <t>Freq Hz</t>
  </si>
  <si>
    <t xml:space="preserve">Series  Z </t>
  </si>
  <si>
    <t xml:space="preserve">The purpose of this section is to judge if the available detector method is capable of </t>
  </si>
  <si>
    <t>This section converts a series Z value (DUT)  to the results that a Test Set would output.</t>
  </si>
  <si>
    <t>Input Frequency and Series Z here:</t>
  </si>
  <si>
    <t>Input Test set Zo here</t>
  </si>
  <si>
    <t xml:space="preserve">Auto Entered for series R and X </t>
  </si>
  <si>
    <t>Convert Gamma to Polar</t>
  </si>
  <si>
    <t xml:space="preserve">This is the magnitude and angle of the </t>
  </si>
  <si>
    <t>series impedance expressed as Gamma, S11</t>
  </si>
  <si>
    <t>This is the required delay between the AC signals</t>
  </si>
  <si>
    <t>at v1 and vref. If a scope is the detector, the time</t>
  </si>
  <si>
    <t xml:space="preserve">This section takes the measured test set values, v1 and vref </t>
  </si>
  <si>
    <t xml:space="preserve">If vr leads the v1 phase, noted at either the zero crossings of the </t>
  </si>
  <si>
    <t>and provides the S11 and the resulting series impedance.</t>
  </si>
  <si>
    <t xml:space="preserve">a postive value. Otherwise, input delay is a negative value. </t>
  </si>
  <si>
    <t xml:space="preserve">This is an example of a series R L network… vr lags v1 </t>
  </si>
  <si>
    <t>This is an example of a series R C network… vr leads v1</t>
  </si>
  <si>
    <t>This is the test set channel ratio, v1/vref &gt;=1 or &lt;1 dependent on the |Z| as compared to Zo</t>
  </si>
  <si>
    <t xml:space="preserve">This section solves for the S21 or transmission gain for the DUT network. </t>
  </si>
  <si>
    <t>The DUT is inserted in series between port v1 and v2 and the ratio to measure</t>
  </si>
  <si>
    <t>is v2 relative to vr. The time delay between v2 and vr is also required.</t>
  </si>
  <si>
    <t xml:space="preserve">delay is input in seconds betrween the v2 and vr signals. </t>
  </si>
  <si>
    <t xml:space="preserve">If vr leads the v2 phase, noted at either the zero crossings of the </t>
  </si>
  <si>
    <t>Note despite the low frequnecy, the delay is small. Since vr leads v2, the time delay is positive.</t>
  </si>
  <si>
    <t>v2</t>
  </si>
  <si>
    <t>v2/vref</t>
  </si>
  <si>
    <t>MAG S21</t>
  </si>
  <si>
    <t>ANG S21</t>
  </si>
  <si>
    <t>dB S21</t>
  </si>
  <si>
    <t>This is S21 Gain dB</t>
  </si>
  <si>
    <t>Starting the sheet for the paper using the Resistive Power Divider_Pad Test Set…Finding S21</t>
  </si>
  <si>
    <t>This sheet provides a simple set of complex number calculations in Excel</t>
  </si>
  <si>
    <t xml:space="preserve">The math action in cell A and cell B provides annotation of the output </t>
  </si>
  <si>
    <t>The various sheets in this workbook provide assistance in using the test set discussed in the QEX paper</t>
  </si>
  <si>
    <t xml:space="preserve">                 A Simplified Impedance Analyzer - Simple Add On Network to Characterize Networks</t>
  </si>
  <si>
    <t xml:space="preserve">This sheet, the Overview, provides an explanation of the 4 sheets, Complex_v0 </t>
  </si>
  <si>
    <t>Series Z to Test Set Values, Test Set Values to Series Z and Test Set Values to S21</t>
  </si>
  <si>
    <t>Complex_v0 is a simple review of handling complex numbers in Excel. It highlights</t>
  </si>
  <si>
    <t>the basic syntax required by Excel to convert real numbers to complex, rectangle</t>
  </si>
  <si>
    <t xml:space="preserve">coordinates to polar, finding proper angles and magnitudes of complex numbers. </t>
  </si>
  <si>
    <t>NONE of the SHEETS are PROTECTED. Make a backup of the downloaded workbook</t>
  </si>
  <si>
    <t xml:space="preserve">in case you accidently foul up the equations in the cells! </t>
  </si>
  <si>
    <t>All Cell Inputs are shaded in Pink</t>
  </si>
  <si>
    <t>All Cell Outputs are shaded in Grey and should not be touched</t>
  </si>
  <si>
    <t>SERIES Z TO TEST SET VALUES</t>
  </si>
  <si>
    <t xml:space="preserve">If you can estimate the Z under test prior to testing, this sheet permits you </t>
  </si>
  <si>
    <t>to obtain voltage and time delay, will need the appropriate voltage sensitivity</t>
  </si>
  <si>
    <t xml:space="preserve">and time base accuracy and resolution. </t>
  </si>
  <si>
    <t>All inputs are in PINK cells</t>
  </si>
  <si>
    <t>All outputs are in GREY cells. Z is converted to S11, mag and angle</t>
  </si>
  <si>
    <t>v1/vref is provided as a ratio and the delay required is in seconds.</t>
  </si>
  <si>
    <t xml:space="preserve">for the detector function. </t>
  </si>
  <si>
    <t>TEST SET VALUES TO SERIES Z</t>
  </si>
  <si>
    <t xml:space="preserve">of the delay. And note the sign. Is vr leading or lagging vr? </t>
  </si>
  <si>
    <t xml:space="preserve">See the example illustrations as shown for series R L and series R C . </t>
  </si>
  <si>
    <t xml:space="preserve">Outputs are S11 MAG and ANGLE. Also the series impedance. </t>
  </si>
  <si>
    <t>Test set values to S21, gain or loss of the DUT</t>
  </si>
  <si>
    <t xml:space="preserve">This is the sheet to use to calculate the S21 of the DUT. The test is </t>
  </si>
  <si>
    <t>now of a device as a 2 port, so the values that can be returned are</t>
  </si>
  <si>
    <t>S11 and S21. As S11, the DUT is terminated in Zo. Hence, this S11 will</t>
  </si>
  <si>
    <t>COMPLEX_v0</t>
  </si>
  <si>
    <t xml:space="preserve">Outputs also include the gain or loss expressed in dB </t>
  </si>
  <si>
    <t>Outputs are MAG S21 and ANGLE of S21</t>
  </si>
  <si>
    <t>SHEET 1</t>
  </si>
  <si>
    <t xml:space="preserve">SHEET2 </t>
  </si>
  <si>
    <t>SHEET 3</t>
  </si>
  <si>
    <t>SHEET 4</t>
  </si>
  <si>
    <t>While cell C and beyond provide an explanation of the entries used in Excel</t>
  </si>
  <si>
    <t xml:space="preserve">delay is input in seconds between the v1 and vr signals. </t>
  </si>
  <si>
    <t xml:space="preserve">Note if we expand the view around the 0 mV crossing point, the Time values are 97.5 uS  97.51 uS </t>
  </si>
  <si>
    <t>to tell in advance the expected voltage ratio as well as the time delay reading</t>
  </si>
  <si>
    <t>required from your phase detector. For example, the oscilliscope, if used</t>
  </si>
  <si>
    <t xml:space="preserve">Required inputs are simply Frequency, Z series format, and Zo. </t>
  </si>
  <si>
    <t xml:space="preserve">Hence, this data will help guide the selection of the appropriate instrument </t>
  </si>
  <si>
    <t>This is the sheet to use to calculate the unknown Z of the DUT.</t>
  </si>
  <si>
    <t>Inputs are v1, vr or vref, the delay, and the measurement frequency. Take care in measurment</t>
  </si>
  <si>
    <t>differ than S11 obtained as a one port in the sheet TEST SET VALUES TO SERIES Z.</t>
  </si>
  <si>
    <t>Inputs are v2, vr or vref, delay, and frequnecy</t>
  </si>
  <si>
    <t>providing the desired accurate results. For example, if the output delay value is 1 nSec</t>
  </si>
  <si>
    <t xml:space="preserve">and the oscilloscope is limited to 10 MHz, unlikely accurate measurements will result. </t>
  </si>
  <si>
    <t>base accuracy should be checked against this delay.</t>
  </si>
  <si>
    <t xml:space="preserve">Input values required are v1 and vr and the phase relationship, </t>
  </si>
  <si>
    <t xml:space="preserve">signals or their peak-to-peak alignments, then input delay is </t>
  </si>
  <si>
    <t xml:space="preserve">Input values required are v2 and vr and the phase relationship, </t>
  </si>
  <si>
    <t>Hence the measured delay is 10 nanoSeconds. This is the level of delay that would need to be registered via the detector</t>
  </si>
  <si>
    <t>Display of S21 voltages v2 and vr magnitudes and phase for a series R L at 2 MHz.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</si>
</sst>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E+0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001D35"/>
      <name val="Arial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3" applyNumberFormat="0" applyFont="0" applyAlignment="0" applyProtection="0"/>
    <xf numFmtId="0" fontId="7" fillId="4" borderId="1" applyNumberFormat="0" applyAlignment="0" applyProtection="0"/>
    <xf numFmtId="0" fontId="6" fillId="8" borderId="0" applyNumberFormat="0" applyBorder="0" applyAlignment="0" applyProtection="0"/>
    <xf numFmtId="0" fontId="4" fillId="9" borderId="0" applyNumberFormat="0" applyBorder="0" applyAlignment="0" applyProtection="0"/>
  </cellStyleXfs>
  <cellXfs count="2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11" fontId="0" fillId="0" borderId="0" xfId="0" applyNumberFormat="1"/>
    <xf numFmtId="0" fontId="3" fillId="4" borderId="2" xfId="3"/>
    <xf numFmtId="11" fontId="3" fillId="4" borderId="2" xfId="3" applyNumberFormat="1"/>
    <xf numFmtId="0" fontId="2" fillId="3" borderId="1" xfId="2"/>
    <xf numFmtId="11" fontId="2" fillId="3" borderId="1" xfId="2" applyNumberFormat="1"/>
    <xf numFmtId="0" fontId="1" fillId="2" borderId="0" xfId="1"/>
    <xf numFmtId="0" fontId="4" fillId="5" borderId="2" xfId="4" applyBorder="1"/>
    <xf numFmtId="0" fontId="4" fillId="6" borderId="0" xfId="5"/>
    <xf numFmtId="0" fontId="3" fillId="4" borderId="0" xfId="3" applyBorder="1"/>
    <xf numFmtId="0" fontId="0" fillId="7" borderId="3" xfId="6" applyFont="1"/>
    <xf numFmtId="0" fontId="3" fillId="7" borderId="3" xfId="6" applyFont="1"/>
    <xf numFmtId="11" fontId="4" fillId="5" borderId="2" xfId="4" applyNumberFormat="1" applyBorder="1"/>
    <xf numFmtId="0" fontId="7" fillId="4" borderId="1" xfId="7"/>
    <xf numFmtId="0" fontId="6" fillId="8" borderId="0" xfId="8"/>
    <xf numFmtId="0" fontId="4" fillId="5" borderId="0" xfId="4"/>
    <xf numFmtId="0" fontId="4" fillId="9" borderId="0" xfId="9"/>
  </cellXfs>
  <cellStyles count="10">
    <cellStyle name="40% - Accent4" xfId="8" builtinId="43"/>
    <cellStyle name="Accent1" xfId="9" builtinId="29"/>
    <cellStyle name="Accent3" xfId="4" builtinId="37"/>
    <cellStyle name="Accent6" xfId="5" builtinId="49"/>
    <cellStyle name="Calculation" xfId="7" builtinId="22"/>
    <cellStyle name="Good" xfId="1" builtinId="26"/>
    <cellStyle name="Input" xfId="2" builtinId="20"/>
    <cellStyle name="Normal" xfId="0" builtinId="0"/>
    <cellStyle name="Note" xfId="6" builtinId="1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181012</xdr:rowOff>
    </xdr:from>
    <xdr:to>
      <xdr:col>19</xdr:col>
      <xdr:colOff>85725</xdr:colOff>
      <xdr:row>10</xdr:row>
      <xdr:rowOff>9155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43475" y="371512"/>
          <a:ext cx="6762750" cy="1542643"/>
        </a:xfrm>
        <a:prstGeom prst="rect">
          <a:avLst/>
        </a:prstGeom>
      </xdr:spPr>
    </xdr:pic>
    <xdr:clientData/>
  </xdr:twoCellAnchor>
  <xdr:twoCellAnchor editAs="oneCell">
    <xdr:from>
      <xdr:col>8</xdr:col>
      <xdr:colOff>9524</xdr:colOff>
      <xdr:row>11</xdr:row>
      <xdr:rowOff>28577</xdr:rowOff>
    </xdr:from>
    <xdr:to>
      <xdr:col>19</xdr:col>
      <xdr:colOff>93629</xdr:colOff>
      <xdr:row>19</xdr:row>
      <xdr:rowOff>42245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4424" y="2124077"/>
          <a:ext cx="6789705" cy="1537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3</xdr:row>
      <xdr:rowOff>26037</xdr:rowOff>
    </xdr:from>
    <xdr:to>
      <xdr:col>19</xdr:col>
      <xdr:colOff>561974</xdr:colOff>
      <xdr:row>18</xdr:row>
      <xdr:rowOff>139243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597537"/>
          <a:ext cx="6619874" cy="2970706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23</xdr:row>
      <xdr:rowOff>19050</xdr:rowOff>
    </xdr:from>
    <xdr:to>
      <xdr:col>22</xdr:col>
      <xdr:colOff>451608</xdr:colOff>
      <xdr:row>33</xdr:row>
      <xdr:rowOff>75836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5875" y="4400550"/>
          <a:ext cx="8766933" cy="1961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opLeftCell="A7" workbookViewId="0">
      <selection activeCell="K35" sqref="K35"/>
    </sheetView>
  </sheetViews>
  <sheetFormatPr defaultRowHeight="15" x14ac:dyDescent="0.25"/>
  <sheetData>
    <row r="1" spans="1:10" x14ac:dyDescent="0.25">
      <c r="A1" t="s">
        <v>84</v>
      </c>
    </row>
    <row r="2" spans="1:10" x14ac:dyDescent="0.25">
      <c r="A2" s="17" t="s">
        <v>85</v>
      </c>
      <c r="B2" s="17"/>
      <c r="C2" s="17"/>
      <c r="D2" s="17"/>
      <c r="E2" s="17"/>
      <c r="F2" s="17"/>
      <c r="G2" s="17"/>
      <c r="H2" s="17"/>
      <c r="I2" s="17"/>
      <c r="J2" s="17"/>
    </row>
    <row r="4" spans="1:10" x14ac:dyDescent="0.25">
      <c r="A4" t="s">
        <v>86</v>
      </c>
    </row>
    <row r="5" spans="1:10" x14ac:dyDescent="0.25">
      <c r="A5" t="s">
        <v>87</v>
      </c>
    </row>
    <row r="6" spans="1:10" x14ac:dyDescent="0.25">
      <c r="C6" s="13" t="s">
        <v>111</v>
      </c>
      <c r="D6" s="13"/>
      <c r="E6" s="19" t="s">
        <v>114</v>
      </c>
    </row>
    <row r="7" spans="1:10" x14ac:dyDescent="0.25">
      <c r="A7" t="s">
        <v>88</v>
      </c>
    </row>
    <row r="8" spans="1:10" x14ac:dyDescent="0.25">
      <c r="A8" t="s">
        <v>89</v>
      </c>
    </row>
    <row r="9" spans="1:10" x14ac:dyDescent="0.25">
      <c r="A9" t="s">
        <v>90</v>
      </c>
    </row>
    <row r="11" spans="1:10" x14ac:dyDescent="0.25">
      <c r="A11" s="16" t="s">
        <v>91</v>
      </c>
      <c r="B11" s="16"/>
      <c r="C11" s="16"/>
      <c r="D11" s="16"/>
      <c r="E11" s="16"/>
      <c r="F11" s="16"/>
      <c r="G11" s="16"/>
      <c r="H11" s="16"/>
    </row>
    <row r="12" spans="1:10" x14ac:dyDescent="0.25">
      <c r="A12" s="16" t="s">
        <v>92</v>
      </c>
      <c r="B12" s="16"/>
      <c r="C12" s="16"/>
      <c r="D12" s="16"/>
      <c r="E12" s="16"/>
      <c r="F12" s="16"/>
      <c r="G12" s="16"/>
      <c r="H12" s="16"/>
    </row>
    <row r="14" spans="1:10" x14ac:dyDescent="0.25">
      <c r="A14" s="7" t="s">
        <v>93</v>
      </c>
      <c r="B14" s="7"/>
      <c r="C14" s="7"/>
      <c r="D14" s="7"/>
      <c r="E14" s="7"/>
    </row>
    <row r="15" spans="1:10" x14ac:dyDescent="0.25">
      <c r="A15" s="10" t="s">
        <v>94</v>
      </c>
      <c r="B15" s="10"/>
      <c r="C15" s="10"/>
      <c r="D15" s="10"/>
      <c r="E15" s="10"/>
      <c r="F15" s="10"/>
      <c r="G15" s="18"/>
    </row>
    <row r="17" spans="1:17" x14ac:dyDescent="0.25">
      <c r="A17" s="13" t="s">
        <v>95</v>
      </c>
      <c r="B17" s="13"/>
      <c r="C17" s="13"/>
      <c r="E17" s="19" t="s">
        <v>115</v>
      </c>
      <c r="K17" s="13" t="s">
        <v>103</v>
      </c>
      <c r="L17" s="13"/>
      <c r="M17" s="13"/>
      <c r="O17" s="19" t="s">
        <v>116</v>
      </c>
    </row>
    <row r="19" spans="1:17" x14ac:dyDescent="0.25">
      <c r="A19" t="s">
        <v>96</v>
      </c>
      <c r="K19" t="s">
        <v>125</v>
      </c>
    </row>
    <row r="20" spans="1:17" x14ac:dyDescent="0.25">
      <c r="A20" t="s">
        <v>121</v>
      </c>
      <c r="K20" t="s">
        <v>126</v>
      </c>
    </row>
    <row r="21" spans="1:17" x14ac:dyDescent="0.25">
      <c r="A21" t="s">
        <v>122</v>
      </c>
      <c r="K21" t="s">
        <v>104</v>
      </c>
    </row>
    <row r="22" spans="1:17" x14ac:dyDescent="0.25">
      <c r="A22" t="s">
        <v>97</v>
      </c>
      <c r="K22" t="s">
        <v>105</v>
      </c>
    </row>
    <row r="23" spans="1:17" x14ac:dyDescent="0.25">
      <c r="A23" t="s">
        <v>98</v>
      </c>
    </row>
    <row r="24" spans="1:17" x14ac:dyDescent="0.25">
      <c r="K24" t="s">
        <v>106</v>
      </c>
    </row>
    <row r="25" spans="1:17" x14ac:dyDescent="0.25">
      <c r="A25" t="s">
        <v>123</v>
      </c>
    </row>
    <row r="26" spans="1:17" x14ac:dyDescent="0.25">
      <c r="A26" t="s">
        <v>99</v>
      </c>
      <c r="K26" s="13" t="s">
        <v>107</v>
      </c>
      <c r="L26" s="13"/>
      <c r="M26" s="13"/>
      <c r="N26" s="13"/>
      <c r="O26" s="13"/>
      <c r="Q26" s="19" t="s">
        <v>117</v>
      </c>
    </row>
    <row r="28" spans="1:17" x14ac:dyDescent="0.25">
      <c r="A28" t="s">
        <v>100</v>
      </c>
      <c r="K28" t="s">
        <v>108</v>
      </c>
    </row>
    <row r="29" spans="1:17" x14ac:dyDescent="0.25">
      <c r="A29" t="s">
        <v>101</v>
      </c>
      <c r="K29" t="s">
        <v>109</v>
      </c>
    </row>
    <row r="30" spans="1:17" x14ac:dyDescent="0.25">
      <c r="A30" t="s">
        <v>124</v>
      </c>
      <c r="K30" t="s">
        <v>110</v>
      </c>
    </row>
    <row r="31" spans="1:17" x14ac:dyDescent="0.25">
      <c r="A31" t="s">
        <v>102</v>
      </c>
      <c r="K31" t="s">
        <v>127</v>
      </c>
    </row>
    <row r="33" spans="11:11" x14ac:dyDescent="0.25">
      <c r="K33" t="s">
        <v>128</v>
      </c>
    </row>
    <row r="34" spans="11:11" x14ac:dyDescent="0.25">
      <c r="K34" t="s">
        <v>113</v>
      </c>
    </row>
    <row r="35" spans="11:11" x14ac:dyDescent="0.25">
      <c r="K35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6"/>
  <sheetViews>
    <sheetView workbookViewId="0">
      <selection activeCell="I21" sqref="I21"/>
    </sheetView>
  </sheetViews>
  <sheetFormatPr defaultRowHeight="15" x14ac:dyDescent="0.25"/>
  <sheetData>
    <row r="1" spans="1:18" x14ac:dyDescent="0.25">
      <c r="A1" s="1" t="str">
        <f>COMPLEX(2,3)</f>
        <v>2+3i</v>
      </c>
      <c r="C1" t="s">
        <v>0</v>
      </c>
      <c r="K1" s="13" t="s">
        <v>82</v>
      </c>
      <c r="L1" s="13"/>
      <c r="M1" s="13"/>
      <c r="N1" s="13"/>
      <c r="O1" s="13"/>
      <c r="P1" s="13"/>
      <c r="Q1" s="13"/>
      <c r="R1" s="13"/>
    </row>
    <row r="2" spans="1:18" x14ac:dyDescent="0.25">
      <c r="A2" s="2" t="str">
        <f>IMDIV(A1,4)</f>
        <v>0.5+0.75i</v>
      </c>
      <c r="C2" t="s">
        <v>1</v>
      </c>
      <c r="K2" s="13" t="s">
        <v>83</v>
      </c>
      <c r="L2" s="13"/>
      <c r="M2" s="13"/>
      <c r="N2" s="13"/>
      <c r="O2" s="13"/>
      <c r="P2" s="13"/>
      <c r="Q2" s="13"/>
      <c r="R2" s="13"/>
    </row>
    <row r="3" spans="1:18" x14ac:dyDescent="0.25">
      <c r="K3" s="13" t="s">
        <v>118</v>
      </c>
      <c r="L3" s="13"/>
      <c r="M3" s="13"/>
      <c r="N3" s="13"/>
      <c r="O3" s="13"/>
      <c r="P3" s="13"/>
      <c r="Q3" s="13"/>
      <c r="R3" s="13"/>
    </row>
    <row r="4" spans="1:18" x14ac:dyDescent="0.25">
      <c r="A4">
        <f>IMREAL(A1)</f>
        <v>2</v>
      </c>
      <c r="B4" t="s">
        <v>6</v>
      </c>
      <c r="C4" t="s">
        <v>2</v>
      </c>
    </row>
    <row r="6" spans="1:18" x14ac:dyDescent="0.25">
      <c r="A6">
        <f>IMAGINARY(A1)</f>
        <v>3</v>
      </c>
      <c r="B6" t="s">
        <v>7</v>
      </c>
      <c r="C6" t="s">
        <v>3</v>
      </c>
    </row>
    <row r="8" spans="1:18" x14ac:dyDescent="0.25">
      <c r="A8">
        <f>SQRT(A4^2+A6^2)</f>
        <v>3.6055512754639891</v>
      </c>
      <c r="B8" t="s">
        <v>8</v>
      </c>
      <c r="C8" t="s">
        <v>4</v>
      </c>
    </row>
    <row r="11" spans="1:18" ht="18" x14ac:dyDescent="0.25">
      <c r="A11">
        <f>DEGREES(ATAN2(A4,A6))</f>
        <v>56.309932474020215</v>
      </c>
      <c r="B11" t="s">
        <v>9</v>
      </c>
      <c r="C11" t="s">
        <v>5</v>
      </c>
      <c r="L11" s="3"/>
    </row>
    <row r="13" spans="1:18" x14ac:dyDescent="0.25">
      <c r="A13">
        <f>3.6</f>
        <v>3.6</v>
      </c>
      <c r="B13" t="s">
        <v>10</v>
      </c>
      <c r="C13" t="s">
        <v>14</v>
      </c>
    </row>
    <row r="14" spans="1:18" x14ac:dyDescent="0.25">
      <c r="A14">
        <f>56.3</f>
        <v>56.3</v>
      </c>
      <c r="B14" t="s">
        <v>11</v>
      </c>
      <c r="C14" t="s">
        <v>12</v>
      </c>
    </row>
    <row r="16" spans="1:18" x14ac:dyDescent="0.25">
      <c r="A16">
        <f>A13*COS(RADIANS(A14))</f>
        <v>1.9974399388127977</v>
      </c>
      <c r="C16" t="s">
        <v>13</v>
      </c>
    </row>
    <row r="17" spans="1:3" x14ac:dyDescent="0.25">
      <c r="A17">
        <f>A13*SIN(RADIANS(A14))</f>
        <v>2.9950348396697368</v>
      </c>
      <c r="C17" t="s">
        <v>15</v>
      </c>
    </row>
    <row r="66" spans="1:20" x14ac:dyDescent="0.25">
      <c r="M66" s="4"/>
      <c r="O66" s="4"/>
    </row>
    <row r="67" spans="1:20" x14ac:dyDescent="0.25">
      <c r="A67" s="5"/>
      <c r="B67" s="5"/>
      <c r="C67" s="5"/>
      <c r="D67" s="5"/>
      <c r="M67" s="4"/>
      <c r="O67" s="4"/>
    </row>
    <row r="68" spans="1:20" x14ac:dyDescent="0.25">
      <c r="A68" s="5"/>
      <c r="B68" s="5"/>
      <c r="C68" s="5"/>
      <c r="D68" s="5"/>
    </row>
    <row r="69" spans="1:20" x14ac:dyDescent="0.25"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7"/>
      <c r="B71" s="7"/>
      <c r="C71" s="12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M72" s="9"/>
      <c r="N72" s="9"/>
      <c r="O72" s="9"/>
      <c r="P72" s="9"/>
      <c r="Q72" s="9"/>
      <c r="R72" s="9"/>
      <c r="S72" s="9"/>
      <c r="T72" s="9"/>
    </row>
    <row r="74" spans="1:20" x14ac:dyDescent="0.25">
      <c r="C74" s="5"/>
      <c r="D74" s="5"/>
      <c r="E74" s="5"/>
      <c r="H74" s="5"/>
      <c r="I74" s="5"/>
      <c r="J74" s="5"/>
      <c r="K74" s="5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5"/>
      <c r="B75" s="5"/>
      <c r="C75" s="5"/>
      <c r="D75" s="5"/>
      <c r="E75" s="5"/>
    </row>
    <row r="77" spans="1:20" x14ac:dyDescent="0.25">
      <c r="A77" s="5"/>
      <c r="B77" s="5"/>
    </row>
    <row r="78" spans="1:20" x14ac:dyDescent="0.25">
      <c r="A78" s="5"/>
      <c r="B78" s="5"/>
    </row>
    <row r="80" spans="1:20" x14ac:dyDescent="0.25">
      <c r="A80" s="5"/>
      <c r="B80" s="5"/>
      <c r="C80" s="5"/>
      <c r="D80" s="5"/>
      <c r="E80" s="5"/>
    </row>
    <row r="81" spans="1:5" x14ac:dyDescent="0.25">
      <c r="A81" s="5"/>
      <c r="B81" s="5"/>
      <c r="C81" s="5"/>
      <c r="D81" s="5"/>
      <c r="E81" s="5"/>
    </row>
    <row r="82" spans="1:5" x14ac:dyDescent="0.25">
      <c r="A82" s="5"/>
      <c r="B82" s="5"/>
      <c r="C82" s="5"/>
      <c r="D82" s="5"/>
      <c r="E82" s="5"/>
    </row>
    <row r="83" spans="1:5" x14ac:dyDescent="0.25">
      <c r="A83" s="5"/>
      <c r="B83" s="5"/>
      <c r="C83" s="5"/>
      <c r="D83" s="5"/>
      <c r="E83" s="5"/>
    </row>
    <row r="84" spans="1:5" x14ac:dyDescent="0.25">
      <c r="A84" s="5"/>
      <c r="B84" s="5"/>
      <c r="C84" s="5"/>
      <c r="D84" s="5"/>
      <c r="E84" s="5"/>
    </row>
    <row r="85" spans="1:5" x14ac:dyDescent="0.25">
      <c r="A85" s="5"/>
      <c r="B85" s="5"/>
      <c r="C85" s="5"/>
      <c r="D85" s="5"/>
      <c r="E85" s="5"/>
    </row>
    <row r="86" spans="1:5" x14ac:dyDescent="0.25">
      <c r="A86" s="5"/>
      <c r="B86" s="6"/>
      <c r="C86" s="5"/>
      <c r="D86" s="5"/>
      <c r="E86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"/>
  <sheetViews>
    <sheetView workbookViewId="0">
      <selection activeCell="K29" sqref="K29"/>
    </sheetView>
  </sheetViews>
  <sheetFormatPr defaultRowHeight="15" x14ac:dyDescent="0.25"/>
  <sheetData>
    <row r="1" spans="1:14" x14ac:dyDescent="0.25">
      <c r="A1" s="13" t="s">
        <v>53</v>
      </c>
      <c r="B1" s="13"/>
      <c r="C1" s="13"/>
      <c r="D1" s="13"/>
      <c r="E1" s="13"/>
      <c r="F1" s="13"/>
      <c r="G1" s="13"/>
      <c r="H1" s="13"/>
      <c r="I1" s="13"/>
    </row>
    <row r="2" spans="1:14" x14ac:dyDescent="0.25">
      <c r="A2" s="13" t="s">
        <v>52</v>
      </c>
      <c r="B2" s="13"/>
      <c r="C2" s="13"/>
      <c r="D2" s="13"/>
      <c r="E2" s="13"/>
      <c r="F2" s="13"/>
      <c r="G2" s="13"/>
      <c r="H2" s="13"/>
      <c r="I2" s="13"/>
    </row>
    <row r="3" spans="1:14" x14ac:dyDescent="0.25">
      <c r="A3" s="13" t="s">
        <v>129</v>
      </c>
      <c r="B3" s="13"/>
      <c r="C3" s="13"/>
      <c r="D3" s="13"/>
      <c r="E3" s="13"/>
      <c r="F3" s="13"/>
      <c r="G3" s="13"/>
      <c r="H3" s="13"/>
      <c r="I3" s="13"/>
    </row>
    <row r="4" spans="1:14" x14ac:dyDescent="0.25">
      <c r="A4" s="13" t="s">
        <v>130</v>
      </c>
      <c r="B4" s="13"/>
      <c r="C4" s="13"/>
      <c r="D4" s="13"/>
      <c r="E4" s="13"/>
      <c r="F4" s="13"/>
      <c r="G4" s="13"/>
      <c r="H4" s="13"/>
      <c r="I4" s="13"/>
    </row>
    <row r="5" spans="1:14" x14ac:dyDescent="0.25">
      <c r="K5" s="13" t="s">
        <v>54</v>
      </c>
      <c r="L5" s="13"/>
      <c r="M5" s="13"/>
      <c r="N5" s="13"/>
    </row>
    <row r="6" spans="1:14" x14ac:dyDescent="0.25">
      <c r="K6" s="7" t="s">
        <v>50</v>
      </c>
      <c r="L6" s="7"/>
      <c r="M6" s="7" t="s">
        <v>48</v>
      </c>
      <c r="N6" s="7" t="s">
        <v>49</v>
      </c>
    </row>
    <row r="7" spans="1:14" x14ac:dyDescent="0.25">
      <c r="K7" s="8">
        <v>12900000</v>
      </c>
      <c r="L7" s="7"/>
      <c r="M7" s="7">
        <v>97</v>
      </c>
      <c r="N7" s="7">
        <v>12</v>
      </c>
    </row>
    <row r="9" spans="1:14" x14ac:dyDescent="0.25">
      <c r="A9" s="13" t="s">
        <v>55</v>
      </c>
      <c r="B9" s="13"/>
      <c r="C9" s="13"/>
    </row>
    <row r="10" spans="1:14" x14ac:dyDescent="0.25">
      <c r="A10" s="7" t="s">
        <v>38</v>
      </c>
      <c r="B10" s="7">
        <v>50</v>
      </c>
      <c r="C10" s="14" t="s">
        <v>35</v>
      </c>
      <c r="D10" s="14"/>
      <c r="E10" s="14"/>
      <c r="F10" s="5" t="str">
        <f>IMSUB(B11,B10)</f>
        <v>-38+97i</v>
      </c>
      <c r="G10" s="5" t="str">
        <f>IMSUM(B11,B10)</f>
        <v>62+97i</v>
      </c>
      <c r="H10" s="5" t="str">
        <f>IMDIV(F10,G10)</f>
        <v>0.532181392892175+0.731909756281597i</v>
      </c>
      <c r="I10" s="5"/>
      <c r="J10" s="5"/>
      <c r="K10" s="5"/>
    </row>
    <row r="11" spans="1:14" x14ac:dyDescent="0.25">
      <c r="A11" s="5" t="s">
        <v>51</v>
      </c>
      <c r="B11" s="5" t="str">
        <f>COMPLEX(N7,M7)</f>
        <v>12+97i</v>
      </c>
      <c r="C11" s="13" t="s">
        <v>56</v>
      </c>
      <c r="D11" s="13"/>
      <c r="E11" s="13"/>
      <c r="F11" s="13"/>
    </row>
    <row r="14" spans="1:14" x14ac:dyDescent="0.25">
      <c r="A14" s="13" t="s">
        <v>57</v>
      </c>
      <c r="B14" s="13"/>
      <c r="C14" s="13"/>
    </row>
    <row r="15" spans="1:14" x14ac:dyDescent="0.25">
      <c r="A15" s="5" t="str">
        <f>IMDIV(F10,G10)</f>
        <v>0.532181392892175+0.731909756281597i</v>
      </c>
      <c r="B15" s="5"/>
      <c r="C15" s="5"/>
      <c r="D15" s="5"/>
    </row>
    <row r="17" spans="1:15" x14ac:dyDescent="0.25">
      <c r="A17" s="10" t="s">
        <v>36</v>
      </c>
      <c r="B17" s="10">
        <f>IMABS(A15)</f>
        <v>0.90493586860110842</v>
      </c>
      <c r="C17" s="5"/>
      <c r="D17" s="5"/>
      <c r="E17" s="5"/>
      <c r="K17" s="13" t="s">
        <v>58</v>
      </c>
      <c r="L17" s="13"/>
      <c r="M17" s="13"/>
      <c r="N17" s="13"/>
      <c r="O17" s="13"/>
    </row>
    <row r="18" spans="1:15" x14ac:dyDescent="0.25">
      <c r="A18" s="10" t="s">
        <v>37</v>
      </c>
      <c r="B18" s="10">
        <f>DEGREES(IMARGUMENT(A15))</f>
        <v>53.978597705895886</v>
      </c>
      <c r="C18" s="5"/>
      <c r="D18" s="5"/>
      <c r="E18" s="5"/>
      <c r="K18" s="13" t="s">
        <v>59</v>
      </c>
      <c r="L18" s="13"/>
      <c r="M18" s="13"/>
      <c r="N18" s="13"/>
      <c r="O18" s="13"/>
    </row>
    <row r="19" spans="1:15" x14ac:dyDescent="0.25">
      <c r="A19" s="5"/>
      <c r="B19" s="5"/>
      <c r="C19" s="5"/>
      <c r="D19" s="5"/>
      <c r="E19" s="5"/>
    </row>
    <row r="20" spans="1:15" x14ac:dyDescent="0.25">
      <c r="A20" s="5" t="s">
        <v>39</v>
      </c>
      <c r="B20" s="5">
        <f>IMREAL(A15)</f>
        <v>0.53218139289217503</v>
      </c>
      <c r="C20" s="5"/>
      <c r="D20" s="5"/>
      <c r="E20" s="5"/>
    </row>
    <row r="21" spans="1:15" x14ac:dyDescent="0.25">
      <c r="A21" s="5" t="s">
        <v>40</v>
      </c>
      <c r="B21" s="5">
        <f>B20+1</f>
        <v>1.532181392892175</v>
      </c>
      <c r="C21" s="5"/>
      <c r="D21" s="5"/>
      <c r="E21" s="5"/>
    </row>
    <row r="22" spans="1:15" x14ac:dyDescent="0.25">
      <c r="A22" s="5" t="s">
        <v>41</v>
      </c>
      <c r="B22" s="5">
        <f>IMAGINARY(A15)</f>
        <v>0.73190975628159705</v>
      </c>
      <c r="C22" s="5"/>
      <c r="D22" s="5"/>
      <c r="E22" s="5"/>
    </row>
    <row r="23" spans="1:15" x14ac:dyDescent="0.25">
      <c r="A23" s="5" t="s">
        <v>41</v>
      </c>
      <c r="B23" s="5" t="str">
        <f>COMPLEX(B21,B22)</f>
        <v>1.53218139289218+0.731909756281597i</v>
      </c>
      <c r="C23" s="5"/>
      <c r="D23" s="5"/>
      <c r="E23" s="5"/>
    </row>
    <row r="24" spans="1:15" x14ac:dyDescent="0.25">
      <c r="A24" s="10" t="s">
        <v>24</v>
      </c>
      <c r="B24" s="10">
        <f>IMABS(B23)</f>
        <v>1.6980199386536095</v>
      </c>
      <c r="C24" s="5"/>
      <c r="D24" s="5"/>
      <c r="E24" s="5"/>
      <c r="K24" s="13" t="s">
        <v>68</v>
      </c>
      <c r="L24" s="13"/>
      <c r="M24" s="13"/>
      <c r="N24" s="13"/>
      <c r="O24" s="13"/>
    </row>
    <row r="25" spans="1:15" x14ac:dyDescent="0.25">
      <c r="A25" s="5" t="s">
        <v>11</v>
      </c>
      <c r="B25" s="5">
        <f>DEGREES(IMARGUMENT(B23))</f>
        <v>25.53340134607317</v>
      </c>
      <c r="C25" s="5" t="s">
        <v>42</v>
      </c>
      <c r="D25" s="5"/>
      <c r="E25" s="5"/>
    </row>
    <row r="26" spans="1:15" x14ac:dyDescent="0.25">
      <c r="A26" s="10" t="s">
        <v>19</v>
      </c>
      <c r="B26" s="15">
        <f>B25/((360)*K7)</f>
        <v>5.4981484380002522E-9</v>
      </c>
      <c r="C26" s="5"/>
      <c r="D26" s="5"/>
      <c r="E26" s="5"/>
      <c r="K26" s="13" t="s">
        <v>60</v>
      </c>
      <c r="L26" s="13"/>
      <c r="M26" s="13"/>
      <c r="N26" s="13"/>
      <c r="O26" s="13"/>
    </row>
    <row r="27" spans="1:15" x14ac:dyDescent="0.25">
      <c r="K27" s="13" t="s">
        <v>61</v>
      </c>
      <c r="L27" s="13"/>
      <c r="M27" s="13"/>
      <c r="N27" s="13"/>
      <c r="O27" s="13"/>
    </row>
    <row r="28" spans="1:15" x14ac:dyDescent="0.25">
      <c r="K28" s="13" t="s">
        <v>131</v>
      </c>
      <c r="L28" s="13"/>
      <c r="M28" s="13"/>
      <c r="N28" s="13"/>
      <c r="O28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topLeftCell="A16" workbookViewId="0">
      <selection activeCell="I34" sqref="I34"/>
    </sheetView>
  </sheetViews>
  <sheetFormatPr defaultRowHeight="15" x14ac:dyDescent="0.25"/>
  <cols>
    <col min="2" max="2" width="9.7109375" bestFit="1" customWidth="1"/>
  </cols>
  <sheetData>
    <row r="1" spans="1:12" x14ac:dyDescent="0.25">
      <c r="A1" s="13" t="s">
        <v>62</v>
      </c>
      <c r="B1" s="13"/>
      <c r="C1" s="13"/>
      <c r="D1" s="13"/>
      <c r="E1" s="13"/>
      <c r="F1" s="13"/>
      <c r="G1" s="13"/>
    </row>
    <row r="2" spans="1:12" x14ac:dyDescent="0.25">
      <c r="A2" s="13" t="s">
        <v>64</v>
      </c>
      <c r="B2" s="13"/>
      <c r="C2" s="13"/>
      <c r="D2" s="13"/>
      <c r="E2" s="13"/>
      <c r="F2" s="13"/>
      <c r="G2" s="13"/>
      <c r="L2" t="s">
        <v>66</v>
      </c>
    </row>
    <row r="3" spans="1:12" x14ac:dyDescent="0.25">
      <c r="A3" s="13"/>
      <c r="B3" s="13"/>
      <c r="C3" s="13"/>
      <c r="D3" s="13"/>
      <c r="E3" s="13"/>
      <c r="F3" s="13"/>
      <c r="G3" s="13"/>
    </row>
    <row r="4" spans="1:12" x14ac:dyDescent="0.25">
      <c r="A4" s="13" t="s">
        <v>132</v>
      </c>
      <c r="B4" s="13"/>
      <c r="C4" s="13"/>
      <c r="D4" s="13"/>
      <c r="E4" s="13"/>
      <c r="F4" s="13"/>
      <c r="G4" s="13"/>
    </row>
    <row r="5" spans="1:12" x14ac:dyDescent="0.25">
      <c r="A5" s="13" t="s">
        <v>119</v>
      </c>
      <c r="B5" s="13"/>
      <c r="C5" s="13"/>
      <c r="D5" s="13"/>
      <c r="E5" s="13"/>
      <c r="F5" s="13"/>
      <c r="G5" s="13"/>
    </row>
    <row r="6" spans="1:12" x14ac:dyDescent="0.25">
      <c r="A6" s="13"/>
      <c r="B6" s="13"/>
      <c r="C6" s="13"/>
      <c r="D6" s="13"/>
      <c r="E6" s="13"/>
      <c r="F6" s="13"/>
      <c r="G6" s="13"/>
    </row>
    <row r="7" spans="1:12" x14ac:dyDescent="0.25">
      <c r="A7" s="13" t="s">
        <v>63</v>
      </c>
      <c r="B7" s="13"/>
      <c r="C7" s="13"/>
      <c r="D7" s="13"/>
      <c r="E7" s="13"/>
      <c r="F7" s="13"/>
      <c r="G7" s="13"/>
    </row>
    <row r="8" spans="1:12" x14ac:dyDescent="0.25">
      <c r="A8" s="13" t="s">
        <v>133</v>
      </c>
      <c r="B8" s="13"/>
      <c r="C8" s="13"/>
      <c r="D8" s="13"/>
      <c r="E8" s="13"/>
      <c r="F8" s="13"/>
      <c r="G8" s="13"/>
    </row>
    <row r="9" spans="1:12" x14ac:dyDescent="0.25">
      <c r="A9" s="13" t="s">
        <v>65</v>
      </c>
      <c r="B9" s="13"/>
      <c r="C9" s="13"/>
      <c r="D9" s="13"/>
      <c r="E9" s="13"/>
      <c r="F9" s="13"/>
      <c r="G9" s="13"/>
    </row>
    <row r="11" spans="1:12" x14ac:dyDescent="0.25">
      <c r="L11" t="s">
        <v>67</v>
      </c>
    </row>
    <row r="20" spans="1:9" x14ac:dyDescent="0.25">
      <c r="A20" s="13" t="s">
        <v>16</v>
      </c>
      <c r="B20" s="13"/>
      <c r="C20" s="13"/>
      <c r="D20" s="13"/>
      <c r="E20" s="13"/>
      <c r="F20" s="13"/>
      <c r="G20" s="13"/>
      <c r="H20" s="13"/>
      <c r="I20" s="13"/>
    </row>
    <row r="21" spans="1:9" x14ac:dyDescent="0.25">
      <c r="A21" s="7" t="s">
        <v>17</v>
      </c>
      <c r="B21" s="7">
        <v>1.698</v>
      </c>
      <c r="C21" s="7"/>
      <c r="D21" s="7" t="s">
        <v>34</v>
      </c>
    </row>
    <row r="22" spans="1:9" x14ac:dyDescent="0.25">
      <c r="A22" s="7" t="s">
        <v>18</v>
      </c>
      <c r="B22" s="7">
        <v>1</v>
      </c>
      <c r="C22" s="7"/>
      <c r="D22" s="7" t="s">
        <v>34</v>
      </c>
    </row>
    <row r="23" spans="1:9" x14ac:dyDescent="0.25">
      <c r="A23" s="7" t="s">
        <v>19</v>
      </c>
      <c r="B23" s="7">
        <v>-5.2899999999999997E-9</v>
      </c>
      <c r="C23" s="7" t="s">
        <v>33</v>
      </c>
      <c r="D23" s="7"/>
    </row>
    <row r="24" spans="1:9" x14ac:dyDescent="0.25">
      <c r="A24" s="7" t="s">
        <v>20</v>
      </c>
      <c r="B24" s="7">
        <v>12900000</v>
      </c>
      <c r="C24" s="7" t="s">
        <v>32</v>
      </c>
      <c r="D24" s="7"/>
    </row>
    <row r="25" spans="1:9" x14ac:dyDescent="0.25">
      <c r="A25" s="5" t="s">
        <v>21</v>
      </c>
      <c r="B25" s="5">
        <f>B23*B24*360</f>
        <v>-24.566759999999999</v>
      </c>
      <c r="C25" s="5"/>
      <c r="G25" s="5" t="s">
        <v>23</v>
      </c>
      <c r="H25" s="5">
        <f>RADIANS(B25)</f>
        <v>-0.42877084854724212</v>
      </c>
    </row>
    <row r="26" spans="1:9" x14ac:dyDescent="0.25">
      <c r="A26" s="5"/>
      <c r="B26" s="5"/>
      <c r="C26" s="5"/>
    </row>
    <row r="27" spans="1:9" x14ac:dyDescent="0.25">
      <c r="A27" s="5" t="s">
        <v>24</v>
      </c>
      <c r="B27" s="5">
        <f>B21/B22</f>
        <v>1.698</v>
      </c>
      <c r="C27" s="5" t="s">
        <v>10</v>
      </c>
    </row>
    <row r="28" spans="1:9" x14ac:dyDescent="0.25">
      <c r="A28" s="5" t="s">
        <v>11</v>
      </c>
      <c r="B28" s="5">
        <f>-B25</f>
        <v>24.566759999999999</v>
      </c>
      <c r="C28" s="5" t="s">
        <v>21</v>
      </c>
      <c r="D28" s="13" t="s">
        <v>22</v>
      </c>
      <c r="E28" s="13"/>
      <c r="F28" s="13"/>
      <c r="G28" s="13"/>
    </row>
    <row r="29" spans="1:9" x14ac:dyDescent="0.25">
      <c r="A29" s="5"/>
      <c r="B29" s="5"/>
      <c r="C29" s="5"/>
    </row>
    <row r="30" spans="1:9" x14ac:dyDescent="0.25">
      <c r="A30" s="5" t="s">
        <v>25</v>
      </c>
      <c r="B30" s="5">
        <f>B27*COS(RADIANS(B28))</f>
        <v>1.5442927275207972</v>
      </c>
      <c r="C30" s="5"/>
    </row>
    <row r="31" spans="1:9" x14ac:dyDescent="0.25">
      <c r="A31" s="5" t="s">
        <v>26</v>
      </c>
      <c r="B31" s="5">
        <f>B27*SIN(RADIANS(B28))</f>
        <v>0.70594898663173722</v>
      </c>
      <c r="C31" s="5"/>
    </row>
    <row r="32" spans="1:9" x14ac:dyDescent="0.25">
      <c r="A32" s="5"/>
      <c r="B32" s="5"/>
      <c r="C32" s="5"/>
    </row>
    <row r="33" spans="1:6" x14ac:dyDescent="0.25">
      <c r="A33" s="5" t="s">
        <v>27</v>
      </c>
      <c r="B33" s="5" t="str">
        <f>COMPLEX(B30,B31)</f>
        <v>1.5442927275208+0.705948986631737i</v>
      </c>
      <c r="C33" s="5"/>
      <c r="D33" s="5"/>
      <c r="E33" s="5"/>
      <c r="F33" s="5"/>
    </row>
    <row r="34" spans="1:6" x14ac:dyDescent="0.25">
      <c r="A34" s="5" t="s">
        <v>28</v>
      </c>
      <c r="B34" s="5">
        <f>IMREAL(B33)-1</f>
        <v>0.54429272752080005</v>
      </c>
      <c r="C34" s="5"/>
      <c r="D34" s="5"/>
      <c r="E34" s="5"/>
      <c r="F34" s="5"/>
    </row>
    <row r="35" spans="1:6" x14ac:dyDescent="0.25">
      <c r="A35" s="5" t="s">
        <v>26</v>
      </c>
      <c r="B35" s="5">
        <f>IMAGINARY(B33)</f>
        <v>0.705948986631737</v>
      </c>
      <c r="C35" s="5"/>
      <c r="D35" s="5"/>
      <c r="E35" s="5"/>
      <c r="F35" s="5"/>
    </row>
    <row r="36" spans="1:6" x14ac:dyDescent="0.25">
      <c r="A36" s="5" t="s">
        <v>27</v>
      </c>
      <c r="B36" s="5" t="str">
        <f>COMPLEX(B34,B35)</f>
        <v>0.5442927275208+0.705948986631737i</v>
      </c>
      <c r="C36" s="5"/>
      <c r="D36" s="5"/>
      <c r="E36" s="5"/>
      <c r="F36" s="5"/>
    </row>
    <row r="37" spans="1:6" x14ac:dyDescent="0.25">
      <c r="A37" s="10" t="s">
        <v>29</v>
      </c>
      <c r="B37" s="10">
        <f>SQRT(B34^2+B35^2)</f>
        <v>0.89141378997545706</v>
      </c>
      <c r="C37" s="10" t="s">
        <v>30</v>
      </c>
      <c r="D37" s="10"/>
      <c r="E37" s="5"/>
      <c r="F37" s="5"/>
    </row>
    <row r="38" spans="1:6" x14ac:dyDescent="0.25">
      <c r="A38" s="10" t="s">
        <v>29</v>
      </c>
      <c r="B38" s="10">
        <f>DEGREES(ATAN2(B34,B35))</f>
        <v>52.367468350384989</v>
      </c>
      <c r="C38" s="10" t="s">
        <v>31</v>
      </c>
      <c r="D38" s="10"/>
      <c r="E38" s="5"/>
      <c r="F38" s="5"/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 t="s">
        <v>43</v>
      </c>
      <c r="B40" s="5"/>
      <c r="C40" s="5"/>
      <c r="D40" s="5"/>
      <c r="E40" s="5"/>
      <c r="F40" s="5"/>
    </row>
    <row r="41" spans="1:6" x14ac:dyDescent="0.25">
      <c r="A41" s="5">
        <f>IMREAL(B36)+1</f>
        <v>1.5442927275208</v>
      </c>
      <c r="B41" s="5"/>
      <c r="C41" s="5"/>
      <c r="D41" s="5"/>
      <c r="E41" s="5"/>
      <c r="F41" s="5"/>
    </row>
    <row r="42" spans="1:6" x14ac:dyDescent="0.25">
      <c r="A42" s="5">
        <f>1-IMREAL(B36)</f>
        <v>0.45570727247919995</v>
      </c>
      <c r="B42" s="5"/>
      <c r="C42" s="5"/>
      <c r="D42" s="5"/>
      <c r="E42" s="5"/>
      <c r="F42" s="5"/>
    </row>
    <row r="43" spans="1:6" x14ac:dyDescent="0.25">
      <c r="A43" s="5">
        <f>IMAGINARY(B36)</f>
        <v>0.705948986631737</v>
      </c>
      <c r="B43" s="5"/>
      <c r="C43" s="5"/>
      <c r="D43" s="5"/>
      <c r="E43" s="5"/>
      <c r="F43" s="5"/>
    </row>
    <row r="44" spans="1:6" x14ac:dyDescent="0.25">
      <c r="A44" s="5" t="str">
        <f>COMPLEX(A41,A43)</f>
        <v>1.5442927275208+0.705948986631737i</v>
      </c>
      <c r="B44" s="5"/>
      <c r="C44" s="5"/>
      <c r="D44" s="5"/>
      <c r="E44" s="5" t="s">
        <v>44</v>
      </c>
      <c r="F44" s="5"/>
    </row>
    <row r="45" spans="1:6" x14ac:dyDescent="0.25">
      <c r="A45" s="5" t="str">
        <f>COMPLEX(A42,-A43)</f>
        <v>0.4557072724792-0.705948986631737i</v>
      </c>
      <c r="B45" s="5"/>
      <c r="C45" s="5"/>
      <c r="D45" s="5"/>
      <c r="E45" s="5" t="s">
        <v>45</v>
      </c>
      <c r="F45" s="5"/>
    </row>
    <row r="46" spans="1:6" x14ac:dyDescent="0.25">
      <c r="A46" s="5" t="str">
        <f>IMDIV(A44,A45)</f>
        <v>0.290894942425137+1.99976175823408i</v>
      </c>
      <c r="B46" s="5"/>
      <c r="C46" s="5"/>
      <c r="D46" s="5"/>
      <c r="E46" s="5" t="s">
        <v>46</v>
      </c>
      <c r="F46" s="5"/>
    </row>
    <row r="47" spans="1:6" x14ac:dyDescent="0.25">
      <c r="A47" s="10">
        <f>50*IMREAL(A46)</f>
        <v>14.544747121256851</v>
      </c>
      <c r="B47" s="10">
        <f>50*IMAGINARY(A46)</f>
        <v>99.988087911704</v>
      </c>
      <c r="C47" s="10" t="s">
        <v>47</v>
      </c>
      <c r="D47" s="10"/>
      <c r="E47" s="10"/>
      <c r="F47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tabSelected="1" workbookViewId="0">
      <selection activeCell="V6" sqref="V6"/>
    </sheetView>
  </sheetViews>
  <sheetFormatPr defaultRowHeight="15" x14ac:dyDescent="0.25"/>
  <sheetData>
    <row r="1" spans="1:10" x14ac:dyDescent="0.25">
      <c r="A1" s="13" t="s">
        <v>69</v>
      </c>
      <c r="B1" s="13"/>
      <c r="C1" s="13"/>
      <c r="D1" s="13"/>
      <c r="E1" s="13"/>
      <c r="F1" s="13"/>
      <c r="G1" s="13"/>
      <c r="H1" s="13"/>
      <c r="J1" t="s">
        <v>136</v>
      </c>
    </row>
    <row r="2" spans="1:10" x14ac:dyDescent="0.25">
      <c r="A2" s="13" t="s">
        <v>70</v>
      </c>
      <c r="B2" s="13"/>
      <c r="C2" s="13"/>
      <c r="D2" s="13"/>
      <c r="E2" s="13"/>
      <c r="F2" s="13"/>
      <c r="G2" s="13"/>
      <c r="H2" s="13"/>
      <c r="J2" t="s">
        <v>74</v>
      </c>
    </row>
    <row r="3" spans="1:10" x14ac:dyDescent="0.25">
      <c r="A3" s="13" t="s">
        <v>71</v>
      </c>
      <c r="B3" s="13"/>
      <c r="C3" s="13"/>
      <c r="D3" s="13"/>
      <c r="E3" s="13"/>
      <c r="F3" s="13"/>
      <c r="G3" s="13"/>
      <c r="H3" s="13"/>
    </row>
    <row r="5" spans="1:10" x14ac:dyDescent="0.25">
      <c r="A5" s="13"/>
      <c r="B5" s="13"/>
      <c r="C5" s="13"/>
      <c r="D5" s="13"/>
      <c r="E5" s="13"/>
      <c r="F5" s="13"/>
      <c r="G5" s="13"/>
    </row>
    <row r="6" spans="1:10" x14ac:dyDescent="0.25">
      <c r="A6" s="13"/>
      <c r="B6" s="13"/>
      <c r="C6" s="13"/>
      <c r="D6" s="13"/>
      <c r="E6" s="13"/>
      <c r="F6" s="13"/>
      <c r="G6" s="13"/>
    </row>
    <row r="7" spans="1:10" x14ac:dyDescent="0.25">
      <c r="A7" s="13"/>
      <c r="B7" s="13"/>
      <c r="C7" s="13"/>
      <c r="D7" s="13"/>
      <c r="E7" s="13"/>
      <c r="F7" s="13"/>
      <c r="G7" s="13"/>
    </row>
    <row r="8" spans="1:10" x14ac:dyDescent="0.25">
      <c r="A8" s="13" t="s">
        <v>134</v>
      </c>
      <c r="B8" s="13"/>
      <c r="C8" s="13"/>
      <c r="D8" s="13"/>
      <c r="E8" s="13"/>
      <c r="F8" s="13"/>
      <c r="G8" s="13"/>
    </row>
    <row r="9" spans="1:10" x14ac:dyDescent="0.25">
      <c r="A9" s="13" t="s">
        <v>72</v>
      </c>
      <c r="B9" s="13"/>
      <c r="C9" s="13"/>
      <c r="D9" s="13"/>
      <c r="E9" s="13"/>
      <c r="F9" s="13"/>
      <c r="G9" s="13"/>
    </row>
    <row r="10" spans="1:10" x14ac:dyDescent="0.25">
      <c r="A10" s="13"/>
      <c r="B10" s="13"/>
      <c r="C10" s="13"/>
      <c r="D10" s="13"/>
      <c r="E10" s="13"/>
      <c r="F10" s="13"/>
      <c r="G10" s="13"/>
    </row>
    <row r="11" spans="1:10" x14ac:dyDescent="0.25">
      <c r="A11" s="13" t="s">
        <v>73</v>
      </c>
      <c r="B11" s="13"/>
      <c r="C11" s="13"/>
      <c r="D11" s="13"/>
      <c r="E11" s="13"/>
      <c r="F11" s="13"/>
      <c r="G11" s="13"/>
    </row>
    <row r="12" spans="1:10" x14ac:dyDescent="0.25">
      <c r="A12" s="13" t="s">
        <v>133</v>
      </c>
      <c r="B12" s="13"/>
      <c r="C12" s="13"/>
      <c r="D12" s="13"/>
      <c r="E12" s="13"/>
      <c r="F12" s="13"/>
      <c r="G12" s="13"/>
    </row>
    <row r="13" spans="1:10" x14ac:dyDescent="0.25">
      <c r="A13" s="13" t="s">
        <v>65</v>
      </c>
      <c r="B13" s="13"/>
      <c r="C13" s="13"/>
      <c r="D13" s="13"/>
      <c r="E13" s="13"/>
      <c r="F13" s="13"/>
      <c r="G13" s="13"/>
    </row>
    <row r="20" spans="1:10" x14ac:dyDescent="0.25">
      <c r="A20" s="13" t="s">
        <v>81</v>
      </c>
      <c r="B20" s="13"/>
      <c r="C20" s="13"/>
      <c r="D20" s="13"/>
      <c r="E20" s="13"/>
      <c r="F20" s="13"/>
      <c r="G20" s="13"/>
      <c r="H20" s="13"/>
      <c r="I20" s="13"/>
    </row>
    <row r="21" spans="1:10" x14ac:dyDescent="0.25">
      <c r="A21" s="7" t="s">
        <v>75</v>
      </c>
      <c r="B21" s="8">
        <v>2.1999999999999999E-2</v>
      </c>
      <c r="C21" s="7"/>
      <c r="D21" s="7" t="s">
        <v>34</v>
      </c>
    </row>
    <row r="22" spans="1:10" x14ac:dyDescent="0.25">
      <c r="A22" s="7" t="s">
        <v>18</v>
      </c>
      <c r="B22" s="8">
        <v>2.5000000000000001E-2</v>
      </c>
      <c r="C22" s="7"/>
      <c r="D22" s="7" t="s">
        <v>34</v>
      </c>
    </row>
    <row r="23" spans="1:10" x14ac:dyDescent="0.25">
      <c r="A23" s="7" t="s">
        <v>19</v>
      </c>
      <c r="B23" s="8">
        <v>1E-8</v>
      </c>
      <c r="C23" s="7" t="s">
        <v>33</v>
      </c>
      <c r="D23" s="7"/>
      <c r="J23" t="s">
        <v>120</v>
      </c>
    </row>
    <row r="24" spans="1:10" x14ac:dyDescent="0.25">
      <c r="A24" s="7" t="s">
        <v>20</v>
      </c>
      <c r="B24" s="8">
        <v>2000000</v>
      </c>
      <c r="C24" s="7" t="s">
        <v>32</v>
      </c>
      <c r="D24" s="7"/>
    </row>
    <row r="25" spans="1:10" x14ac:dyDescent="0.25">
      <c r="A25" s="5" t="s">
        <v>21</v>
      </c>
      <c r="B25" s="5">
        <f>B23*B24*360</f>
        <v>7.2</v>
      </c>
      <c r="C25" s="5"/>
      <c r="D25" s="5"/>
      <c r="E25" s="5"/>
      <c r="F25" s="5"/>
      <c r="G25" s="5" t="s">
        <v>23</v>
      </c>
      <c r="H25" s="5">
        <f>RADIANS(B25)</f>
        <v>0.12566370614359174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</row>
    <row r="27" spans="1:10" x14ac:dyDescent="0.25">
      <c r="A27" s="5" t="s">
        <v>76</v>
      </c>
      <c r="B27" s="5">
        <f>B21/B22</f>
        <v>0.87999999999999989</v>
      </c>
      <c r="C27" s="5" t="s">
        <v>10</v>
      </c>
      <c r="D27" s="5"/>
      <c r="E27" s="5"/>
      <c r="F27" s="5"/>
      <c r="G27" s="5"/>
      <c r="H27" s="5"/>
    </row>
    <row r="28" spans="1:10" x14ac:dyDescent="0.25">
      <c r="A28" s="5" t="s">
        <v>11</v>
      </c>
      <c r="B28" s="5">
        <f>-B25</f>
        <v>-7.2</v>
      </c>
      <c r="C28" s="5" t="s">
        <v>21</v>
      </c>
      <c r="D28" s="5" t="s">
        <v>22</v>
      </c>
      <c r="E28" s="5"/>
      <c r="F28" s="5"/>
      <c r="G28" s="5"/>
      <c r="H28" s="5"/>
    </row>
    <row r="29" spans="1:10" x14ac:dyDescent="0.25">
      <c r="A29" s="5"/>
      <c r="B29" s="5"/>
      <c r="C29" s="5"/>
      <c r="D29" s="5"/>
      <c r="E29" s="5"/>
      <c r="F29" s="5"/>
      <c r="G29" s="5"/>
      <c r="H29" s="5"/>
    </row>
    <row r="30" spans="1:10" x14ac:dyDescent="0.25">
      <c r="A30" s="5" t="s">
        <v>25</v>
      </c>
      <c r="B30" s="5">
        <f>B27*COS(RADIANS(B28))</f>
        <v>0.87306093715674038</v>
      </c>
      <c r="C30" s="5"/>
      <c r="D30" s="5"/>
      <c r="E30" s="5"/>
      <c r="F30" s="5"/>
      <c r="G30" s="5"/>
      <c r="H30" s="5"/>
    </row>
    <row r="31" spans="1:10" x14ac:dyDescent="0.25">
      <c r="A31" s="5" t="s">
        <v>26</v>
      </c>
      <c r="B31" s="5">
        <f>B27*SIN(RADIANS(B28))</f>
        <v>-0.11029324553658773</v>
      </c>
      <c r="C31" s="5"/>
      <c r="D31" s="5"/>
      <c r="E31" s="5"/>
      <c r="F31" s="5"/>
      <c r="G31" s="5"/>
      <c r="H31" s="5"/>
    </row>
    <row r="32" spans="1:10" x14ac:dyDescent="0.25">
      <c r="A32" s="5"/>
      <c r="B32" s="5"/>
      <c r="C32" s="5"/>
      <c r="D32" s="5"/>
      <c r="E32" s="5"/>
      <c r="F32" s="5"/>
      <c r="G32" s="5"/>
      <c r="H32" s="5"/>
    </row>
    <row r="33" spans="1:10" x14ac:dyDescent="0.25">
      <c r="A33" s="5" t="s">
        <v>27</v>
      </c>
      <c r="B33" s="5" t="str">
        <f>COMPLEX(B30,B31)</f>
        <v>0.87306093715674-0.110293245536588i</v>
      </c>
      <c r="C33" s="5"/>
      <c r="D33" s="5"/>
      <c r="E33" s="5"/>
      <c r="F33" s="5"/>
      <c r="G33" s="5"/>
      <c r="H33" s="5"/>
    </row>
    <row r="34" spans="1:10" x14ac:dyDescent="0.25">
      <c r="A34" s="10" t="s">
        <v>77</v>
      </c>
      <c r="B34" s="10">
        <f>SQRT(B30^2+B31^2)</f>
        <v>0.87999999999999989</v>
      </c>
    </row>
    <row r="35" spans="1:10" x14ac:dyDescent="0.25">
      <c r="A35" s="10" t="s">
        <v>78</v>
      </c>
      <c r="B35" s="10">
        <f>DEGREES(ATAN2(B30,B31))</f>
        <v>-7.200000000000002</v>
      </c>
      <c r="J35" t="s">
        <v>135</v>
      </c>
    </row>
    <row r="37" spans="1:10" x14ac:dyDescent="0.25">
      <c r="A37" s="10" t="s">
        <v>79</v>
      </c>
      <c r="B37" s="10">
        <f>20*LOG10(B34)</f>
        <v>-1.1103465569966284</v>
      </c>
      <c r="C37" s="10" t="s">
        <v>80</v>
      </c>
      <c r="D37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Complex_v0</vt:lpstr>
      <vt:lpstr>Series Z to Test Set Values </vt:lpstr>
      <vt:lpstr>Test Set Values to Series Z</vt:lpstr>
      <vt:lpstr>Test Set Values to S21</vt:lpstr>
    </vt:vector>
  </TitlesOfParts>
  <Company>ECPI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Victor, Alan (Raleigh)</dc:creator>
  <cp:lastModifiedBy>Matthew Smith</cp:lastModifiedBy>
  <dcterms:created xsi:type="dcterms:W3CDTF">2025-07-11T15:45:12Z</dcterms:created>
  <dcterms:modified xsi:type="dcterms:W3CDTF">2026-07-08T19:51:58Z</dcterms:modified>
</cp:coreProperties>
</file>